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burrows/Downloads/"/>
    </mc:Choice>
  </mc:AlternateContent>
  <xr:revisionPtr revIDLastSave="0" documentId="13_ncr:1_{6BE8EF4B-04A6-C14A-99DB-357C2C16B5BA}" xr6:coauthVersionLast="45" xr6:coauthVersionMax="45" xr10:uidLastSave="{00000000-0000-0000-0000-000000000000}"/>
  <bookViews>
    <workbookView xWindow="580" yWindow="600" windowWidth="28040" windowHeight="15940" activeTab="1" xr2:uid="{6ED83B7B-EA2B-9646-A7DC-E1FF726A1AE1}"/>
  </bookViews>
  <sheets>
    <sheet name="Working data" sheetId="1" r:id="rId1"/>
    <sheet name="Cashflo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A6" i="2" l="1"/>
  <c r="A5" i="2"/>
  <c r="B4" i="1"/>
  <c r="B5" i="1"/>
  <c r="B6" i="1"/>
  <c r="B13" i="1"/>
  <c r="B18" i="1" s="1"/>
  <c r="B27" i="1"/>
  <c r="B28" i="1" s="1"/>
  <c r="B9" i="1" l="1"/>
  <c r="B20" i="1" s="1"/>
  <c r="B33" i="2"/>
  <c r="B27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I14" i="2"/>
  <c r="H14" i="2"/>
  <c r="G14" i="2"/>
  <c r="F14" i="2"/>
  <c r="E14" i="2"/>
  <c r="D14" i="2"/>
  <c r="C14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28" i="2"/>
  <c r="I28" i="2"/>
  <c r="H28" i="2"/>
  <c r="G28" i="2"/>
  <c r="E28" i="2"/>
  <c r="D28" i="2"/>
  <c r="C28" i="2"/>
  <c r="B28" i="2"/>
  <c r="F28" i="2"/>
  <c r="J27" i="2"/>
  <c r="I27" i="2"/>
  <c r="H27" i="2"/>
  <c r="G27" i="2"/>
  <c r="F27" i="2"/>
  <c r="E27" i="2"/>
  <c r="D27" i="2"/>
  <c r="C27" i="2"/>
  <c r="B19" i="2"/>
  <c r="B18" i="2"/>
  <c r="B17" i="2"/>
  <c r="B16" i="2"/>
  <c r="B14" i="2"/>
  <c r="B10" i="2"/>
  <c r="B9" i="2"/>
  <c r="E30" i="2" l="1"/>
  <c r="C30" i="2"/>
  <c r="F29" i="2"/>
  <c r="E29" i="2"/>
  <c r="H29" i="2"/>
  <c r="D29" i="2"/>
  <c r="G29" i="2"/>
  <c r="B29" i="2"/>
  <c r="C29" i="2"/>
  <c r="I30" i="2"/>
  <c r="J29" i="2"/>
  <c r="I29" i="2"/>
  <c r="H30" i="2"/>
  <c r="J30" i="2"/>
  <c r="B30" i="2"/>
  <c r="F30" i="2"/>
  <c r="C33" i="2"/>
  <c r="D33" i="2" s="1"/>
  <c r="E33" i="2" s="1"/>
  <c r="F33" i="2" s="1"/>
  <c r="G33" i="2" s="1"/>
  <c r="H33" i="2" s="1"/>
  <c r="I33" i="2" s="1"/>
  <c r="J33" i="2" s="1"/>
  <c r="G30" i="2"/>
  <c r="D30" i="2"/>
  <c r="J7" i="2"/>
  <c r="A20" i="2"/>
  <c r="A19" i="2"/>
  <c r="A18" i="2"/>
  <c r="A17" i="2"/>
  <c r="A16" i="2"/>
  <c r="A15" i="2"/>
  <c r="A14" i="2"/>
  <c r="A13" i="2"/>
  <c r="A11" i="2"/>
  <c r="A10" i="2"/>
  <c r="A9" i="2"/>
  <c r="A8" i="2"/>
  <c r="A7" i="2"/>
  <c r="B8" i="2" l="1"/>
  <c r="C8" i="2"/>
  <c r="J8" i="2"/>
  <c r="I8" i="2"/>
  <c r="F8" i="2"/>
  <c r="G8" i="2"/>
  <c r="E8" i="2"/>
  <c r="H8" i="2"/>
  <c r="D8" i="2"/>
  <c r="B15" i="2"/>
  <c r="B20" i="2" s="1"/>
  <c r="C15" i="2"/>
  <c r="C20" i="2" s="1"/>
  <c r="J15" i="2"/>
  <c r="J20" i="2" s="1"/>
  <c r="G15" i="2"/>
  <c r="G20" i="2" s="1"/>
  <c r="F15" i="2"/>
  <c r="F20" i="2" s="1"/>
  <c r="I15" i="2"/>
  <c r="I20" i="2" s="1"/>
  <c r="D15" i="2"/>
  <c r="D20" i="2" s="1"/>
  <c r="H15" i="2"/>
  <c r="H20" i="2" s="1"/>
  <c r="E15" i="2"/>
  <c r="E20" i="2" s="1"/>
  <c r="I7" i="2"/>
  <c r="H7" i="2"/>
  <c r="G7" i="2"/>
  <c r="B7" i="2"/>
  <c r="F7" i="2"/>
  <c r="E7" i="2"/>
  <c r="D7" i="2"/>
  <c r="C7" i="2"/>
  <c r="B6" i="2"/>
  <c r="B31" i="2" l="1"/>
  <c r="B11" i="2"/>
  <c r="B22" i="2" s="1"/>
  <c r="B23" i="2" s="1"/>
  <c r="C6" i="2"/>
  <c r="C31" i="2" s="1"/>
  <c r="D6" i="2" l="1"/>
  <c r="C11" i="2"/>
  <c r="C22" i="2" s="1"/>
  <c r="C23" i="2" s="1"/>
  <c r="D31" i="2" l="1"/>
  <c r="E6" i="2"/>
  <c r="E31" i="2" s="1"/>
  <c r="D11" i="2"/>
  <c r="D22" i="2" s="1"/>
  <c r="D23" i="2" s="1"/>
  <c r="F6" i="2" l="1"/>
  <c r="F31" i="2" s="1"/>
  <c r="E11" i="2"/>
  <c r="E22" i="2" s="1"/>
  <c r="E23" i="2" s="1"/>
  <c r="G6" i="2" l="1"/>
  <c r="G31" i="2" s="1"/>
  <c r="F11" i="2"/>
  <c r="F22" i="2" s="1"/>
  <c r="F23" i="2" s="1"/>
  <c r="G11" i="2" l="1"/>
  <c r="G22" i="2" s="1"/>
  <c r="G23" i="2" s="1"/>
  <c r="H6" i="2"/>
  <c r="H31" i="2" s="1"/>
  <c r="H11" i="2" l="1"/>
  <c r="H22" i="2" s="1"/>
  <c r="H23" i="2" s="1"/>
  <c r="I6" i="2"/>
  <c r="I31" i="2" s="1"/>
  <c r="I11" i="2" l="1"/>
  <c r="I22" i="2" s="1"/>
  <c r="I23" i="2" s="1"/>
  <c r="J6" i="2"/>
  <c r="J11" i="2" l="1"/>
  <c r="J22" i="2" s="1"/>
  <c r="J23" i="2" s="1"/>
  <c r="J31" i="2"/>
</calcChain>
</file>

<file path=xl/sharedStrings.xml><?xml version="1.0" encoding="utf-8"?>
<sst xmlns="http://schemas.openxmlformats.org/spreadsheetml/2006/main" count="62" uniqueCount="53">
  <si>
    <t>Rent</t>
  </si>
  <si>
    <t>Payroll</t>
  </si>
  <si>
    <t xml:space="preserve">Equipment Rental </t>
  </si>
  <si>
    <t>Other 1 (rename)</t>
  </si>
  <si>
    <t>Other 2 (rename)</t>
  </si>
  <si>
    <t xml:space="preserve">All other </t>
  </si>
  <si>
    <t xml:space="preserve">PT Income </t>
  </si>
  <si>
    <t>All other income</t>
  </si>
  <si>
    <t>Total income</t>
  </si>
  <si>
    <t>Income Other 1 (rename)</t>
  </si>
  <si>
    <t>Item</t>
  </si>
  <si>
    <t>Month 1</t>
  </si>
  <si>
    <t>Month 2</t>
  </si>
  <si>
    <t>Month 3</t>
  </si>
  <si>
    <t>Month 4</t>
  </si>
  <si>
    <t>Month 5</t>
  </si>
  <si>
    <t>Month 6</t>
  </si>
  <si>
    <t>Month 7</t>
  </si>
  <si>
    <t xml:space="preserve">Month 8 </t>
  </si>
  <si>
    <t>Month 9</t>
  </si>
  <si>
    <t>Enter expected % of income for each month</t>
  </si>
  <si>
    <t xml:space="preserve">Net cashflow </t>
  </si>
  <si>
    <t>New Members for mth</t>
  </si>
  <si>
    <t>Lost members. For mth</t>
  </si>
  <si>
    <t>Notes</t>
  </si>
  <si>
    <t>Current reserves (in cash)</t>
  </si>
  <si>
    <t>Net cash (in bank)</t>
  </si>
  <si>
    <t>Avg Yield Per Member Per Mth</t>
  </si>
  <si>
    <t xml:space="preserve">Re-opening metrics </t>
  </si>
  <si>
    <t>Current situation. / historical data</t>
  </si>
  <si>
    <t xml:space="preserve"># Active DD members </t>
  </si>
  <si>
    <t xml:space="preserve">Net DD change for mth </t>
  </si>
  <si>
    <t>Number of members (total)</t>
  </si>
  <si>
    <t>Re-opening Numbers &amp; pricing</t>
  </si>
  <si>
    <t xml:space="preserve">Avg DD $ for new members </t>
  </si>
  <si>
    <t xml:space="preserve">SURPLUS </t>
  </si>
  <si>
    <t xml:space="preserve">avg # of DD members that normally cancel per week </t>
  </si>
  <si>
    <t xml:space="preserve">avg # of new membership sales on DD per week </t>
  </si>
  <si>
    <t>Avg weekly yield per DD member</t>
  </si>
  <si>
    <t>Avg monthly yield per DD member</t>
  </si>
  <si>
    <t>Membership lump sum (new sales and renewals)</t>
  </si>
  <si>
    <t>Key - change any the three coloured cells (do not alter clear or grey cells)</t>
  </si>
  <si>
    <t>Various member caculations and metrics below this line (can be ignored)</t>
  </si>
  <si>
    <t>Cashflow forecast (do not alter any numbvers on this page)</t>
  </si>
  <si>
    <t>Regular Monthly Budget (inc GST)</t>
  </si>
  <si>
    <t>Future projections - percentage of expected item vs normal budget</t>
  </si>
  <si>
    <t xml:space="preserve">% of DD that members that restart &amp; pay </t>
  </si>
  <si>
    <t xml:space="preserve">Membership DD income </t>
  </si>
  <si>
    <t xml:space="preserve">Income  </t>
  </si>
  <si>
    <t>Expenses</t>
  </si>
  <si>
    <t>Total expenses</t>
  </si>
  <si>
    <t>Active DD Members (pre -closure)</t>
  </si>
  <si>
    <t>Normal sales &amp; attrition (cancelation) of DD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</si>
</sst>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$-1409]#,##0;[Red]\-[$$-1409]#,##0"/>
    <numFmt numFmtId="165" formatCode="0.0"/>
    <numFmt numFmtId="166" formatCode="&quot;$&quot;#,##0"/>
    <numFmt numFmtId="167" formatCode="&quot;$&quot;#,##0.00"/>
    <numFmt numFmtId="168" formatCode="[$$-1409]#,##0.00;[Red]\-[$$-1409]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9" fontId="0" fillId="2" borderId="0" xfId="2" applyNumberFormat="1" applyFont="1" applyFill="1" applyAlignment="1">
      <alignment horizontal="center"/>
    </xf>
    <xf numFmtId="9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2" fontId="0" fillId="0" borderId="0" xfId="0" applyNumberFormat="1"/>
    <xf numFmtId="0" fontId="0" fillId="0" borderId="6" xfId="0" applyBorder="1"/>
    <xf numFmtId="0" fontId="2" fillId="0" borderId="0" xfId="0" applyFont="1" applyAlignment="1">
      <alignment horizontal="center"/>
    </xf>
    <xf numFmtId="0" fontId="0" fillId="5" borderId="1" xfId="0" applyFill="1" applyBorder="1"/>
    <xf numFmtId="166" fontId="0" fillId="5" borderId="2" xfId="0" applyNumberFormat="1" applyFill="1" applyBorder="1"/>
    <xf numFmtId="166" fontId="0" fillId="5" borderId="3" xfId="0" applyNumberFormat="1" applyFill="1" applyBorder="1"/>
    <xf numFmtId="0" fontId="0" fillId="5" borderId="6" xfId="0" applyFill="1" applyBorder="1"/>
    <xf numFmtId="166" fontId="0" fillId="5" borderId="7" xfId="0" applyNumberFormat="1" applyFill="1" applyBorder="1"/>
    <xf numFmtId="166" fontId="0" fillId="5" borderId="8" xfId="0" applyNumberFormat="1" applyFill="1" applyBorder="1"/>
    <xf numFmtId="0" fontId="2" fillId="0" borderId="1" xfId="0" applyFont="1" applyBorder="1" applyAlignment="1">
      <alignment horizontal="left"/>
    </xf>
    <xf numFmtId="9" fontId="0" fillId="0" borderId="3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166" fontId="0" fillId="4" borderId="5" xfId="1" applyNumberFormat="1" applyFont="1" applyFill="1" applyBorder="1" applyAlignment="1">
      <alignment horizontal="right"/>
    </xf>
    <xf numFmtId="9" fontId="0" fillId="4" borderId="5" xfId="0" applyNumberFormat="1" applyFill="1" applyBorder="1" applyAlignment="1">
      <alignment horizontal="right"/>
    </xf>
    <xf numFmtId="167" fontId="0" fillId="4" borderId="8" xfId="0" applyNumberFormat="1" applyFill="1" applyBorder="1"/>
    <xf numFmtId="0" fontId="2" fillId="0" borderId="1" xfId="0" applyFont="1" applyBorder="1" applyAlignment="1">
      <alignment horizontal="center"/>
    </xf>
    <xf numFmtId="0" fontId="0" fillId="0" borderId="3" xfId="0" applyBorder="1"/>
    <xf numFmtId="164" fontId="0" fillId="2" borderId="5" xfId="1" applyNumberFormat="1" applyFont="1" applyFill="1" applyBorder="1"/>
    <xf numFmtId="0" fontId="0" fillId="0" borderId="4" xfId="0" applyBorder="1"/>
    <xf numFmtId="0" fontId="0" fillId="2" borderId="4" xfId="0" applyFill="1" applyBorder="1"/>
    <xf numFmtId="0" fontId="2" fillId="0" borderId="4" xfId="0" applyFont="1" applyBorder="1"/>
    <xf numFmtId="164" fontId="2" fillId="0" borderId="5" xfId="1" applyNumberFormat="1" applyFont="1" applyBorder="1"/>
    <xf numFmtId="164" fontId="0" fillId="0" borderId="5" xfId="1" applyNumberFormat="1" applyFont="1" applyBorder="1"/>
    <xf numFmtId="0" fontId="2" fillId="0" borderId="1" xfId="0" applyFont="1" applyBorder="1"/>
    <xf numFmtId="0" fontId="0" fillId="2" borderId="5" xfId="0" applyFill="1" applyBorder="1"/>
    <xf numFmtId="9" fontId="0" fillId="0" borderId="5" xfId="0" applyNumberFormat="1" applyFill="1" applyBorder="1"/>
    <xf numFmtId="168" fontId="0" fillId="0" borderId="5" xfId="0" applyNumberFormat="1" applyBorder="1"/>
    <xf numFmtId="168" fontId="0" fillId="0" borderId="8" xfId="0" applyNumberFormat="1" applyBorder="1"/>
    <xf numFmtId="0" fontId="0" fillId="0" borderId="2" xfId="0" applyBorder="1"/>
    <xf numFmtId="9" fontId="0" fillId="0" borderId="4" xfId="2" applyNumberFormat="1" applyFont="1" applyFill="1" applyBorder="1" applyAlignment="1">
      <alignment horizontal="center"/>
    </xf>
    <xf numFmtId="9" fontId="0" fillId="0" borderId="0" xfId="2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9" fontId="0" fillId="3" borderId="4" xfId="2" applyNumberFormat="1" applyFont="1" applyFill="1" applyBorder="1" applyAlignment="1">
      <alignment horizontal="center"/>
    </xf>
    <xf numFmtId="9" fontId="0" fillId="3" borderId="0" xfId="2" applyNumberFormat="1" applyFont="1" applyFill="1" applyBorder="1" applyAlignment="1">
      <alignment horizontal="center"/>
    </xf>
    <xf numFmtId="9" fontId="2" fillId="0" borderId="4" xfId="2" applyNumberFormat="1" applyFont="1" applyBorder="1" applyAlignment="1">
      <alignment horizontal="center"/>
    </xf>
    <xf numFmtId="9" fontId="2" fillId="0" borderId="0" xfId="2" applyNumberFormat="1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9" fontId="0" fillId="0" borderId="4" xfId="2" applyNumberFormat="1" applyFont="1" applyBorder="1" applyAlignment="1">
      <alignment horizontal="center"/>
    </xf>
    <xf numFmtId="9" fontId="0" fillId="0" borderId="0" xfId="2" applyNumberFormat="1" applyFont="1" applyBorder="1" applyAlignment="1">
      <alignment horizontal="center"/>
    </xf>
    <xf numFmtId="9" fontId="0" fillId="3" borderId="6" xfId="2" applyNumberFormat="1" applyFont="1" applyFill="1" applyBorder="1" applyAlignment="1">
      <alignment horizontal="center"/>
    </xf>
    <xf numFmtId="9" fontId="0" fillId="3" borderId="7" xfId="2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4" fillId="0" borderId="2" xfId="0" applyFont="1" applyBorder="1"/>
    <xf numFmtId="0" fontId="0" fillId="0" borderId="4" xfId="0" applyFont="1" applyBorder="1" applyAlignment="1">
      <alignment horizontal="left"/>
    </xf>
    <xf numFmtId="0" fontId="2" fillId="5" borderId="6" xfId="0" applyFont="1" applyFill="1" applyBorder="1"/>
    <xf numFmtId="164" fontId="2" fillId="5" borderId="8" xfId="1" applyNumberFormat="1" applyFont="1" applyFill="1" applyBorder="1"/>
    <xf numFmtId="9" fontId="0" fillId="0" borderId="9" xfId="2" applyNumberFormat="1" applyFont="1" applyFill="1" applyBorder="1" applyAlignment="1">
      <alignment horizontal="center"/>
    </xf>
    <xf numFmtId="0" fontId="0" fillId="3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4" borderId="4" xfId="0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2" borderId="4" xfId="0" applyFont="1" applyFill="1" applyBorder="1" applyAlignme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624D-3071-7E4D-862B-2E98D1C2B86D}">
  <dimension ref="A1:XFD34"/>
  <sheetViews>
    <sheetView workbookViewId="0">
      <selection activeCell="A22" sqref="A22"/>
    </sheetView>
  </sheetViews>
  <sheetFormatPr baseColWidth="10" defaultRowHeight="16" x14ac:dyDescent="0.2"/>
  <cols>
    <col min="1" max="1" width="61.5" customWidth="1"/>
    <col min="2" max="2" width="10" customWidth="1"/>
    <col min="3" max="3" width="5" customWidth="1"/>
    <col min="13" max="13" width="4.1640625" customWidth="1"/>
    <col min="14" max="14" width="36.1640625" customWidth="1"/>
  </cols>
  <sheetData>
    <row r="1" spans="1:14 16384:16384" ht="17" thickBot="1" x14ac:dyDescent="0.25"/>
    <row r="2" spans="1:14 16384:16384" ht="19" x14ac:dyDescent="0.25">
      <c r="A2" s="25" t="s">
        <v>44</v>
      </c>
      <c r="B2" s="26"/>
      <c r="D2" s="55"/>
      <c r="E2" s="38"/>
      <c r="F2" s="56" t="s">
        <v>20</v>
      </c>
      <c r="G2" s="38"/>
      <c r="H2" s="38"/>
      <c r="I2" s="38"/>
      <c r="J2" s="38"/>
      <c r="K2" s="38"/>
      <c r="L2" s="38"/>
      <c r="M2" s="38"/>
      <c r="N2" s="26"/>
    </row>
    <row r="3" spans="1:14 16384:16384" x14ac:dyDescent="0.2">
      <c r="A3" s="30" t="s">
        <v>48</v>
      </c>
      <c r="B3" s="42"/>
      <c r="D3" s="30" t="s">
        <v>11</v>
      </c>
      <c r="E3" s="47" t="s">
        <v>12</v>
      </c>
      <c r="F3" s="47" t="s">
        <v>13</v>
      </c>
      <c r="G3" s="47" t="s">
        <v>14</v>
      </c>
      <c r="H3" s="47" t="s">
        <v>15</v>
      </c>
      <c r="I3" s="47" t="s">
        <v>16</v>
      </c>
      <c r="J3" s="47" t="s">
        <v>17</v>
      </c>
      <c r="K3" s="47" t="s">
        <v>18</v>
      </c>
      <c r="L3" s="47" t="s">
        <v>19</v>
      </c>
      <c r="M3" s="41"/>
      <c r="N3" s="48" t="s">
        <v>24</v>
      </c>
    </row>
    <row r="4" spans="1:14 16384:16384" x14ac:dyDescent="0.2">
      <c r="A4" s="57" t="s">
        <v>47</v>
      </c>
      <c r="B4" s="27">
        <f>450*14.5*4.33</f>
        <v>28253.25</v>
      </c>
      <c r="D4" s="39"/>
      <c r="E4" s="40"/>
      <c r="F4" s="40"/>
      <c r="G4" s="40"/>
      <c r="H4" s="40"/>
      <c r="I4" s="40"/>
      <c r="J4" s="40"/>
      <c r="K4" s="40"/>
      <c r="L4" s="40"/>
      <c r="M4" s="41"/>
      <c r="N4" s="42"/>
    </row>
    <row r="5" spans="1:14 16384:16384" x14ac:dyDescent="0.2">
      <c r="A5" s="28" t="s">
        <v>40</v>
      </c>
      <c r="B5" s="27">
        <f>B33*52*3</f>
        <v>2644.2</v>
      </c>
      <c r="D5" s="43">
        <v>0.3</v>
      </c>
      <c r="E5" s="44">
        <v>0.3</v>
      </c>
      <c r="F5" s="44">
        <v>0.3</v>
      </c>
      <c r="G5" s="44">
        <v>0.3</v>
      </c>
      <c r="H5" s="44">
        <v>0.3</v>
      </c>
      <c r="I5" s="44">
        <v>0.3</v>
      </c>
      <c r="J5" s="44">
        <v>0.3</v>
      </c>
      <c r="K5" s="44">
        <v>0.3</v>
      </c>
      <c r="L5" s="44">
        <v>0.3</v>
      </c>
      <c r="M5" s="41"/>
      <c r="N5" s="42"/>
    </row>
    <row r="6" spans="1:14 16384:16384" x14ac:dyDescent="0.2">
      <c r="A6" s="28" t="s">
        <v>6</v>
      </c>
      <c r="B6" s="27">
        <f>200*4.33*3</f>
        <v>2598</v>
      </c>
      <c r="D6" s="43">
        <v>0.5</v>
      </c>
      <c r="E6" s="44">
        <v>0.75</v>
      </c>
      <c r="F6" s="44">
        <v>0.8</v>
      </c>
      <c r="G6" s="44">
        <v>0.8</v>
      </c>
      <c r="H6" s="44">
        <v>0.8</v>
      </c>
      <c r="I6" s="44">
        <v>0.8</v>
      </c>
      <c r="J6" s="44">
        <v>0.8</v>
      </c>
      <c r="K6" s="44">
        <v>0.8</v>
      </c>
      <c r="L6" s="44">
        <v>0.8</v>
      </c>
      <c r="M6" s="41"/>
      <c r="N6" s="42"/>
      <c r="XFD6" s="4"/>
    </row>
    <row r="7" spans="1:14 16384:16384" x14ac:dyDescent="0.2">
      <c r="A7" s="29" t="s">
        <v>9</v>
      </c>
      <c r="B7" s="27">
        <v>0</v>
      </c>
      <c r="D7" s="43">
        <v>0.1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1"/>
      <c r="N7" s="42"/>
    </row>
    <row r="8" spans="1:14 16384:16384" x14ac:dyDescent="0.2">
      <c r="A8" s="28" t="s">
        <v>7</v>
      </c>
      <c r="B8" s="27">
        <v>500</v>
      </c>
      <c r="D8" s="43">
        <v>0.75</v>
      </c>
      <c r="E8" s="44">
        <v>0.75</v>
      </c>
      <c r="F8" s="44">
        <v>0.75</v>
      </c>
      <c r="G8" s="44">
        <v>0.75</v>
      </c>
      <c r="H8" s="44">
        <v>0.75</v>
      </c>
      <c r="I8" s="44">
        <v>0.75</v>
      </c>
      <c r="J8" s="44">
        <v>0.75</v>
      </c>
      <c r="K8" s="44">
        <v>0.75</v>
      </c>
      <c r="L8" s="44">
        <v>0.75</v>
      </c>
      <c r="M8" s="41"/>
      <c r="N8" s="42"/>
    </row>
    <row r="9" spans="1:14 16384:16384" s="1" customFormat="1" x14ac:dyDescent="0.2">
      <c r="A9" s="30" t="s">
        <v>8</v>
      </c>
      <c r="B9" s="31">
        <f>SUM(B4:B8)</f>
        <v>33995.449999999997</v>
      </c>
      <c r="D9" s="45"/>
      <c r="E9" s="46"/>
      <c r="F9" s="46"/>
      <c r="G9" s="46"/>
      <c r="H9" s="46"/>
      <c r="I9" s="46"/>
      <c r="J9" s="46"/>
      <c r="K9" s="46"/>
      <c r="L9" s="46"/>
      <c r="M9" s="47"/>
      <c r="N9" s="48"/>
    </row>
    <row r="10" spans="1:14 16384:16384" s="1" customFormat="1" x14ac:dyDescent="0.2">
      <c r="A10" s="30"/>
      <c r="B10" s="31"/>
      <c r="D10" s="45"/>
      <c r="E10" s="46"/>
      <c r="F10" s="46"/>
      <c r="G10" s="46"/>
      <c r="H10" s="46"/>
      <c r="I10" s="46"/>
      <c r="J10" s="46"/>
      <c r="K10" s="46"/>
      <c r="L10" s="46"/>
      <c r="M10" s="47"/>
      <c r="N10" s="48"/>
    </row>
    <row r="11" spans="1:14 16384:16384" x14ac:dyDescent="0.2">
      <c r="A11" s="30" t="s">
        <v>49</v>
      </c>
      <c r="B11" s="32"/>
      <c r="D11" s="49"/>
      <c r="E11" s="50"/>
      <c r="F11" s="50"/>
      <c r="G11" s="50"/>
      <c r="H11" s="50"/>
      <c r="I11" s="50"/>
      <c r="J11" s="50"/>
      <c r="K11" s="50"/>
      <c r="L11" s="50"/>
      <c r="M11" s="41"/>
      <c r="N11" s="42"/>
    </row>
    <row r="12" spans="1:14 16384:16384" x14ac:dyDescent="0.2">
      <c r="A12" s="28" t="s">
        <v>0</v>
      </c>
      <c r="B12" s="27">
        <v>7000</v>
      </c>
      <c r="D12" s="43">
        <v>0.75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1"/>
      <c r="N12" s="42"/>
    </row>
    <row r="13" spans="1:14 16384:16384" x14ac:dyDescent="0.2">
      <c r="A13" s="28" t="s">
        <v>1</v>
      </c>
      <c r="B13" s="27">
        <f>190000/12</f>
        <v>15833.333333333334</v>
      </c>
      <c r="D13" s="43">
        <v>1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44">
        <v>1</v>
      </c>
      <c r="L13" s="44">
        <v>1</v>
      </c>
      <c r="M13" s="41"/>
      <c r="N13" s="42"/>
    </row>
    <row r="14" spans="1:14 16384:16384" x14ac:dyDescent="0.2">
      <c r="A14" s="28" t="s">
        <v>2</v>
      </c>
      <c r="B14" s="27">
        <v>2000</v>
      </c>
      <c r="D14" s="43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1"/>
      <c r="N14" s="42"/>
    </row>
    <row r="15" spans="1:14 16384:16384" x14ac:dyDescent="0.2">
      <c r="A15" s="29" t="s">
        <v>3</v>
      </c>
      <c r="B15" s="27">
        <v>1000</v>
      </c>
      <c r="D15" s="43">
        <v>1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1"/>
      <c r="N15" s="42"/>
    </row>
    <row r="16" spans="1:14 16384:16384" x14ac:dyDescent="0.2">
      <c r="A16" s="29" t="s">
        <v>4</v>
      </c>
      <c r="B16" s="27">
        <v>2500</v>
      </c>
      <c r="D16" s="43">
        <v>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1"/>
      <c r="N16" s="42"/>
    </row>
    <row r="17" spans="1:14" x14ac:dyDescent="0.2">
      <c r="A17" s="28" t="s">
        <v>5</v>
      </c>
      <c r="B17" s="27">
        <v>1500</v>
      </c>
      <c r="D17" s="43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1"/>
      <c r="N17" s="42"/>
    </row>
    <row r="18" spans="1:14" x14ac:dyDescent="0.2">
      <c r="A18" s="30" t="s">
        <v>50</v>
      </c>
      <c r="B18" s="31">
        <f>SUM(B12:B17)</f>
        <v>29833.333333333336</v>
      </c>
      <c r="D18" s="49"/>
      <c r="E18" s="50"/>
      <c r="F18" s="50"/>
      <c r="G18" s="50"/>
      <c r="H18" s="50"/>
      <c r="I18" s="50"/>
      <c r="J18" s="50"/>
      <c r="K18" s="50"/>
      <c r="L18" s="50"/>
      <c r="M18" s="41"/>
      <c r="N18" s="42"/>
    </row>
    <row r="19" spans="1:14" x14ac:dyDescent="0.2">
      <c r="A19" s="28"/>
      <c r="B19" s="32"/>
      <c r="D19" s="49"/>
      <c r="E19" s="50"/>
      <c r="F19" s="50"/>
      <c r="G19" s="50"/>
      <c r="H19" s="50"/>
      <c r="I19" s="50"/>
      <c r="J19" s="50"/>
      <c r="K19" s="50"/>
      <c r="L19" s="50"/>
      <c r="M19" s="41"/>
      <c r="N19" s="42"/>
    </row>
    <row r="20" spans="1:14" ht="17" thickBot="1" x14ac:dyDescent="0.25">
      <c r="A20" s="58" t="s">
        <v>35</v>
      </c>
      <c r="B20" s="59">
        <f>B9-B18</f>
        <v>4162.1166666666613</v>
      </c>
      <c r="D20" s="49"/>
      <c r="E20" s="50"/>
      <c r="F20" s="50"/>
      <c r="G20" s="50"/>
      <c r="H20" s="50"/>
      <c r="I20" s="50"/>
      <c r="J20" s="50"/>
      <c r="K20" s="50"/>
      <c r="L20" s="50"/>
      <c r="M20" s="41"/>
      <c r="N20" s="42"/>
    </row>
    <row r="21" spans="1:14" ht="17" thickBot="1" x14ac:dyDescent="0.25">
      <c r="A21" s="1"/>
      <c r="B21" s="2"/>
      <c r="D21" s="49"/>
      <c r="E21" s="50"/>
      <c r="F21" s="50"/>
      <c r="G21" s="50"/>
      <c r="H21" s="50"/>
      <c r="I21" s="50"/>
      <c r="J21" s="50"/>
      <c r="K21" s="50"/>
      <c r="L21" s="50"/>
      <c r="M21" s="41"/>
      <c r="N21" s="42"/>
    </row>
    <row r="22" spans="1:14" x14ac:dyDescent="0.2">
      <c r="A22" s="33" t="s">
        <v>52</v>
      </c>
      <c r="B22" s="26"/>
      <c r="D22" s="39"/>
      <c r="E22" s="40"/>
      <c r="F22" s="60"/>
      <c r="G22" s="40"/>
      <c r="H22" s="40"/>
      <c r="I22" s="40"/>
      <c r="J22" s="40"/>
      <c r="K22" s="40"/>
      <c r="L22" s="40"/>
      <c r="M22" s="41"/>
      <c r="N22" s="42"/>
    </row>
    <row r="23" spans="1:14" x14ac:dyDescent="0.2">
      <c r="A23" s="28" t="s">
        <v>36</v>
      </c>
      <c r="B23" s="34">
        <v>3</v>
      </c>
      <c r="D23" s="43">
        <v>1.5</v>
      </c>
      <c r="E23" s="44">
        <v>1.5</v>
      </c>
      <c r="F23" s="44">
        <v>1.25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41"/>
      <c r="N23" s="42"/>
    </row>
    <row r="24" spans="1:14" ht="17" thickBot="1" x14ac:dyDescent="0.25">
      <c r="A24" s="28" t="s">
        <v>37</v>
      </c>
      <c r="B24" s="34">
        <v>5</v>
      </c>
      <c r="D24" s="51">
        <v>0.5</v>
      </c>
      <c r="E24" s="52">
        <v>0.5</v>
      </c>
      <c r="F24" s="52">
        <v>0.6</v>
      </c>
      <c r="G24" s="52">
        <v>0.6</v>
      </c>
      <c r="H24" s="52">
        <v>0.75</v>
      </c>
      <c r="I24" s="52">
        <v>0.75</v>
      </c>
      <c r="J24" s="52">
        <v>0.75</v>
      </c>
      <c r="K24" s="52">
        <v>0.75</v>
      </c>
      <c r="L24" s="52">
        <v>0.75</v>
      </c>
      <c r="M24" s="53"/>
      <c r="N24" s="54"/>
    </row>
    <row r="25" spans="1:14" x14ac:dyDescent="0.2">
      <c r="A25" s="28"/>
      <c r="B25" s="35"/>
      <c r="L25" s="6"/>
    </row>
    <row r="26" spans="1:14" ht="17" thickBot="1" x14ac:dyDescent="0.25">
      <c r="A26" s="28" t="s">
        <v>51</v>
      </c>
      <c r="B26" s="34">
        <v>450</v>
      </c>
      <c r="L26" s="6"/>
    </row>
    <row r="27" spans="1:14" x14ac:dyDescent="0.2">
      <c r="A27" s="28" t="s">
        <v>39</v>
      </c>
      <c r="B27" s="36">
        <f>B4/B26</f>
        <v>62.784999999999997</v>
      </c>
      <c r="D27" s="68" t="s">
        <v>41</v>
      </c>
      <c r="E27" s="69"/>
      <c r="F27" s="69"/>
      <c r="G27" s="69"/>
      <c r="H27" s="69"/>
      <c r="I27" s="70"/>
    </row>
    <row r="28" spans="1:14" ht="17" thickBot="1" x14ac:dyDescent="0.25">
      <c r="A28" s="11" t="s">
        <v>38</v>
      </c>
      <c r="B28" s="37">
        <f>B27/4.33</f>
        <v>14.499999999999998</v>
      </c>
      <c r="D28" s="67" t="s">
        <v>29</v>
      </c>
      <c r="E28" s="65"/>
      <c r="F28" s="65"/>
      <c r="G28" s="65"/>
      <c r="H28" s="65"/>
      <c r="I28" s="66"/>
    </row>
    <row r="29" spans="1:14" ht="17" thickBot="1" x14ac:dyDescent="0.25">
      <c r="B29" s="3"/>
      <c r="D29" s="64" t="s">
        <v>28</v>
      </c>
      <c r="E29" s="65"/>
      <c r="F29" s="65"/>
      <c r="G29" s="65"/>
      <c r="H29" s="65"/>
      <c r="I29" s="66"/>
      <c r="J29" s="5"/>
      <c r="K29" s="5"/>
      <c r="L29" s="5"/>
    </row>
    <row r="30" spans="1:14" ht="17" thickBot="1" x14ac:dyDescent="0.25">
      <c r="A30" s="19" t="s">
        <v>33</v>
      </c>
      <c r="B30" s="20"/>
      <c r="D30" s="61" t="s">
        <v>45</v>
      </c>
      <c r="E30" s="62"/>
      <c r="F30" s="62"/>
      <c r="G30" s="62"/>
      <c r="H30" s="62"/>
      <c r="I30" s="63"/>
      <c r="J30" s="5"/>
      <c r="K30" s="5"/>
      <c r="L30" s="5"/>
    </row>
    <row r="31" spans="1:14" x14ac:dyDescent="0.2">
      <c r="A31" s="21" t="s">
        <v>25</v>
      </c>
      <c r="B31" s="22">
        <v>25000</v>
      </c>
      <c r="D31" s="5"/>
      <c r="E31" s="5"/>
      <c r="F31" s="5"/>
      <c r="G31" s="5"/>
      <c r="H31" s="5"/>
      <c r="I31" s="5"/>
      <c r="J31" s="5"/>
      <c r="K31" s="5"/>
      <c r="L31" s="5"/>
    </row>
    <row r="32" spans="1:14" x14ac:dyDescent="0.2">
      <c r="A32" s="21" t="s">
        <v>46</v>
      </c>
      <c r="B32" s="23">
        <v>0.9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7" thickBot="1" x14ac:dyDescent="0.25">
      <c r="A33" s="11" t="s">
        <v>34</v>
      </c>
      <c r="B33" s="24">
        <v>16.95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1"/>
      <c r="B34" s="3"/>
      <c r="D34" s="5"/>
      <c r="E34" s="5"/>
      <c r="F34" s="5"/>
      <c r="G34" s="5"/>
      <c r="H34" s="5"/>
      <c r="I34" s="5"/>
      <c r="J34" s="5"/>
      <c r="K34" s="5"/>
      <c r="L34" s="5"/>
    </row>
  </sheetData>
  <mergeCells count="4">
    <mergeCell ref="D30:I30"/>
    <mergeCell ref="D29:I29"/>
    <mergeCell ref="D28:I28"/>
    <mergeCell ref="D27:I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660-8642-B34F-9CCB-1B3FFEF93BA5}">
  <dimension ref="A1:XFD33"/>
  <sheetViews>
    <sheetView tabSelected="1" workbookViewId="0">
      <selection activeCell="A6" sqref="A6:A10"/>
    </sheetView>
  </sheetViews>
  <sheetFormatPr baseColWidth="10" defaultRowHeight="16" x14ac:dyDescent="0.2"/>
  <cols>
    <col min="1" max="1" width="32.5" customWidth="1"/>
  </cols>
  <sheetData>
    <row r="1" spans="1:10" x14ac:dyDescent="0.2">
      <c r="A1" s="1" t="s">
        <v>43</v>
      </c>
    </row>
    <row r="3" spans="1:10" x14ac:dyDescent="0.2">
      <c r="A3" s="1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</row>
    <row r="4" spans="1:10" x14ac:dyDescent="0.2"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1" t="str">
        <f>'Working data'!A3</f>
        <v xml:space="preserve">Income  </v>
      </c>
    </row>
    <row r="6" spans="1:10" x14ac:dyDescent="0.2">
      <c r="A6" t="str">
        <f>'Working data'!A4</f>
        <v xml:space="preserve">Membership DD income </v>
      </c>
      <c r="B6" s="8">
        <f>'Working data'!B4*'Working data'!B32</f>
        <v>25427.924999999999</v>
      </c>
      <c r="C6" s="8">
        <f t="shared" ref="C6:J6" si="0">B6+B29</f>
        <v>24999.043912499998</v>
      </c>
      <c r="D6" s="8">
        <f t="shared" si="0"/>
        <v>24570.162824999999</v>
      </c>
      <c r="E6" s="8">
        <f t="shared" si="0"/>
        <v>24504.072952499999</v>
      </c>
      <c r="F6" s="8">
        <f>E6+E29</f>
        <v>24641.877367499997</v>
      </c>
      <c r="G6" s="8">
        <f t="shared" si="0"/>
        <v>25645.249323749998</v>
      </c>
      <c r="H6" s="8">
        <f t="shared" si="0"/>
        <v>26021.399129999998</v>
      </c>
      <c r="I6" s="8">
        <f t="shared" si="0"/>
        <v>26397.548936249997</v>
      </c>
      <c r="J6" s="8">
        <f t="shared" si="0"/>
        <v>26773.698742499997</v>
      </c>
    </row>
    <row r="7" spans="1:10" x14ac:dyDescent="0.2">
      <c r="A7" t="str">
        <f>'Working data'!A5</f>
        <v>Membership lump sum (new sales and renewals)</v>
      </c>
      <c r="B7" s="8">
        <f>'Working data'!$B5*'Working data'!D5</f>
        <v>793.25999999999988</v>
      </c>
      <c r="C7" s="8">
        <f>'Working data'!$B5*'Working data'!E5</f>
        <v>793.25999999999988</v>
      </c>
      <c r="D7" s="8">
        <f>'Working data'!$B5*'Working data'!F5</f>
        <v>793.25999999999988</v>
      </c>
      <c r="E7" s="8">
        <f>'Working data'!$B5*'Working data'!G5</f>
        <v>793.25999999999988</v>
      </c>
      <c r="F7" s="8">
        <f>'Working data'!$B5*'Working data'!H5</f>
        <v>793.25999999999988</v>
      </c>
      <c r="G7" s="8">
        <f>'Working data'!$B5*'Working data'!I5</f>
        <v>793.25999999999988</v>
      </c>
      <c r="H7" s="8">
        <f>'Working data'!$B5*'Working data'!J5</f>
        <v>793.25999999999988</v>
      </c>
      <c r="I7" s="8">
        <f>'Working data'!$B5*'Working data'!K5</f>
        <v>793.25999999999988</v>
      </c>
      <c r="J7" s="8">
        <f>'Working data'!$B5*'Working data'!L5</f>
        <v>793.25999999999988</v>
      </c>
    </row>
    <row r="8" spans="1:10" x14ac:dyDescent="0.2">
      <c r="A8" t="str">
        <f>'Working data'!A6</f>
        <v xml:space="preserve">PT Income </v>
      </c>
      <c r="B8" s="8">
        <f>'Working data'!$B6*'Working data'!D6</f>
        <v>1299</v>
      </c>
      <c r="C8" s="8">
        <f>'Working data'!$B6*'Working data'!E6</f>
        <v>1948.5</v>
      </c>
      <c r="D8" s="8">
        <f>'Working data'!$B6*'Working data'!F6</f>
        <v>2078.4</v>
      </c>
      <c r="E8" s="8">
        <f>'Working data'!$B6*'Working data'!G6</f>
        <v>2078.4</v>
      </c>
      <c r="F8" s="8">
        <f>'Working data'!$B6*'Working data'!H6</f>
        <v>2078.4</v>
      </c>
      <c r="G8" s="8">
        <f>'Working data'!$B6*'Working data'!I6</f>
        <v>2078.4</v>
      </c>
      <c r="H8" s="8">
        <f>'Working data'!$B6*'Working data'!J6</f>
        <v>2078.4</v>
      </c>
      <c r="I8" s="8">
        <f>'Working data'!$B6*'Working data'!K6</f>
        <v>2078.4</v>
      </c>
      <c r="J8" s="8">
        <f>'Working data'!$B6*'Working data'!L6</f>
        <v>2078.4</v>
      </c>
    </row>
    <row r="9" spans="1:10" x14ac:dyDescent="0.2">
      <c r="A9" t="str">
        <f>'Working data'!A7</f>
        <v>Income Other 1 (rename)</v>
      </c>
      <c r="B9" s="8">
        <f>'Working data'!$B7*'Working data'!D7</f>
        <v>0</v>
      </c>
      <c r="C9" s="8">
        <f>'Working data'!$B7*'Working data'!E7</f>
        <v>0</v>
      </c>
      <c r="D9" s="8">
        <f>'Working data'!$B7*'Working data'!F7</f>
        <v>0</v>
      </c>
      <c r="E9" s="8">
        <f>'Working data'!$B7*'Working data'!G7</f>
        <v>0</v>
      </c>
      <c r="F9" s="8">
        <f>'Working data'!$B7*'Working data'!H7</f>
        <v>0</v>
      </c>
      <c r="G9" s="8">
        <f>'Working data'!$B7*'Working data'!I7</f>
        <v>0</v>
      </c>
      <c r="H9" s="8">
        <f>'Working data'!$B7*'Working data'!J7</f>
        <v>0</v>
      </c>
      <c r="I9" s="8">
        <f>'Working data'!$B7*'Working data'!K7</f>
        <v>0</v>
      </c>
      <c r="J9" s="8">
        <f>'Working data'!$B7*'Working data'!L7</f>
        <v>0</v>
      </c>
    </row>
    <row r="10" spans="1:10" x14ac:dyDescent="0.2">
      <c r="A10" t="str">
        <f>'Working data'!A8</f>
        <v>All other income</v>
      </c>
      <c r="B10" s="8">
        <f>'Working data'!$B8*'Working data'!D8</f>
        <v>375</v>
      </c>
      <c r="C10" s="8">
        <f>'Working data'!$B8*'Working data'!E8</f>
        <v>375</v>
      </c>
      <c r="D10" s="8">
        <f>'Working data'!$B8*'Working data'!F8</f>
        <v>375</v>
      </c>
      <c r="E10" s="8">
        <f>'Working data'!$B8*'Working data'!G8</f>
        <v>375</v>
      </c>
      <c r="F10" s="8">
        <f>'Working data'!$B8*'Working data'!H8</f>
        <v>375</v>
      </c>
      <c r="G10" s="8">
        <f>'Working data'!$B8*'Working data'!I8</f>
        <v>375</v>
      </c>
      <c r="H10" s="8">
        <f>'Working data'!$B8*'Working data'!J8</f>
        <v>375</v>
      </c>
      <c r="I10" s="8">
        <f>'Working data'!$B8*'Working data'!K8</f>
        <v>375</v>
      </c>
      <c r="J10" s="8">
        <f>'Working data'!$B8*'Working data'!L8</f>
        <v>375</v>
      </c>
    </row>
    <row r="11" spans="1:10" x14ac:dyDescent="0.2">
      <c r="A11" s="1" t="str">
        <f>'Working data'!A9</f>
        <v>Total income</v>
      </c>
      <c r="B11" s="9">
        <f t="shared" ref="B11:J11" si="1">SUM(B6:B10)</f>
        <v>27895.184999999998</v>
      </c>
      <c r="C11" s="9">
        <f t="shared" si="1"/>
        <v>28115.803912499996</v>
      </c>
      <c r="D11" s="9">
        <f t="shared" si="1"/>
        <v>27816.822824999999</v>
      </c>
      <c r="E11" s="9">
        <f t="shared" si="1"/>
        <v>27750.732952499999</v>
      </c>
      <c r="F11" s="9">
        <f t="shared" si="1"/>
        <v>27888.537367499997</v>
      </c>
      <c r="G11" s="9">
        <f t="shared" si="1"/>
        <v>28891.909323749998</v>
      </c>
      <c r="H11" s="9">
        <f t="shared" si="1"/>
        <v>29268.059129999998</v>
      </c>
      <c r="I11" s="9">
        <f t="shared" si="1"/>
        <v>29644.208936249997</v>
      </c>
      <c r="J11" s="9">
        <f t="shared" si="1"/>
        <v>30020.358742499997</v>
      </c>
    </row>
    <row r="13" spans="1:10" x14ac:dyDescent="0.2">
      <c r="A13" s="1" t="str">
        <f>'Working data'!A11</f>
        <v>Expenses</v>
      </c>
    </row>
    <row r="14" spans="1:10" x14ac:dyDescent="0.2">
      <c r="A14" t="str">
        <f>'Working data'!A12</f>
        <v>Rent</v>
      </c>
      <c r="B14" s="8">
        <f>'Working data'!$B12*'Working data'!D12</f>
        <v>5250</v>
      </c>
      <c r="C14" s="8">
        <f>'Working data'!$B12*'Working data'!E12</f>
        <v>7000</v>
      </c>
      <c r="D14" s="8">
        <f>'Working data'!$B12*'Working data'!F12</f>
        <v>7000</v>
      </c>
      <c r="E14" s="8">
        <f>'Working data'!$B12*'Working data'!G12</f>
        <v>7000</v>
      </c>
      <c r="F14" s="8">
        <f>'Working data'!$B12*'Working data'!H12</f>
        <v>7000</v>
      </c>
      <c r="G14" s="8">
        <f>'Working data'!$B12*'Working data'!I12</f>
        <v>7000</v>
      </c>
      <c r="H14" s="8">
        <f>'Working data'!$B12*'Working data'!J12</f>
        <v>7000</v>
      </c>
      <c r="I14" s="8">
        <f>'Working data'!$B12*'Working data'!K12</f>
        <v>7000</v>
      </c>
      <c r="J14" s="8">
        <f>'Working data'!$B12*'Working data'!L12</f>
        <v>7000</v>
      </c>
    </row>
    <row r="15" spans="1:10" x14ac:dyDescent="0.2">
      <c r="A15" t="str">
        <f>'Working data'!A13</f>
        <v>Payroll</v>
      </c>
      <c r="B15" s="8">
        <f>'Working data'!$B13*'Working data'!D13</f>
        <v>15833.333333333334</v>
      </c>
      <c r="C15" s="8">
        <f>'Working data'!$B13*'Working data'!E13</f>
        <v>15833.333333333334</v>
      </c>
      <c r="D15" s="8">
        <f>'Working data'!$B13*'Working data'!F13</f>
        <v>15833.333333333334</v>
      </c>
      <c r="E15" s="8">
        <f>'Working data'!$B13*'Working data'!G13</f>
        <v>15833.333333333334</v>
      </c>
      <c r="F15" s="8">
        <f>'Working data'!$B13*'Working data'!H13</f>
        <v>15833.333333333334</v>
      </c>
      <c r="G15" s="8">
        <f>'Working data'!$B13*'Working data'!I13</f>
        <v>15833.333333333334</v>
      </c>
      <c r="H15" s="8">
        <f>'Working data'!$B13*'Working data'!J13</f>
        <v>15833.333333333334</v>
      </c>
      <c r="I15" s="8">
        <f>'Working data'!$B13*'Working data'!K13</f>
        <v>15833.333333333334</v>
      </c>
      <c r="J15" s="8">
        <f>'Working data'!$B13*'Working data'!L13</f>
        <v>15833.333333333334</v>
      </c>
    </row>
    <row r="16" spans="1:10" x14ac:dyDescent="0.2">
      <c r="A16" t="str">
        <f>'Working data'!A14</f>
        <v xml:space="preserve">Equipment Rental </v>
      </c>
      <c r="B16" s="8">
        <f>'Working data'!$B14*'Working data'!D14</f>
        <v>2000</v>
      </c>
      <c r="C16" s="8">
        <f>'Working data'!$B14*'Working data'!E14</f>
        <v>2000</v>
      </c>
      <c r="D16" s="8">
        <f>'Working data'!$B14*'Working data'!F14</f>
        <v>2000</v>
      </c>
      <c r="E16" s="8">
        <f>'Working data'!$B14*'Working data'!G14</f>
        <v>2000</v>
      </c>
      <c r="F16" s="8">
        <f>'Working data'!$B14*'Working data'!H14</f>
        <v>2000</v>
      </c>
      <c r="G16" s="8">
        <f>'Working data'!$B14*'Working data'!I14</f>
        <v>2000</v>
      </c>
      <c r="H16" s="8">
        <f>'Working data'!$B14*'Working data'!J14</f>
        <v>2000</v>
      </c>
      <c r="I16" s="8">
        <f>'Working data'!$B14*'Working data'!K14</f>
        <v>2000</v>
      </c>
      <c r="J16" s="8">
        <f>'Working data'!$B14*'Working data'!L14</f>
        <v>2000</v>
      </c>
    </row>
    <row r="17" spans="1:10 16384:16384" x14ac:dyDescent="0.2">
      <c r="A17" t="str">
        <f>'Working data'!A15</f>
        <v>Other 1 (rename)</v>
      </c>
      <c r="B17" s="8">
        <f>'Working data'!$B15*'Working data'!D15</f>
        <v>1000</v>
      </c>
      <c r="C17" s="8">
        <f>'Working data'!$B15*'Working data'!E15</f>
        <v>1000</v>
      </c>
      <c r="D17" s="8">
        <f>'Working data'!$B15*'Working data'!F15</f>
        <v>1000</v>
      </c>
      <c r="E17" s="8">
        <f>'Working data'!$B15*'Working data'!G15</f>
        <v>1000</v>
      </c>
      <c r="F17" s="8">
        <f>'Working data'!$B15*'Working data'!H15</f>
        <v>1000</v>
      </c>
      <c r="G17" s="8">
        <f>'Working data'!$B15*'Working data'!I15</f>
        <v>1000</v>
      </c>
      <c r="H17" s="8">
        <f>'Working data'!$B15*'Working data'!J15</f>
        <v>1000</v>
      </c>
      <c r="I17" s="8">
        <f>'Working data'!$B15*'Working data'!K15</f>
        <v>1000</v>
      </c>
      <c r="J17" s="8">
        <f>'Working data'!$B15*'Working data'!L15</f>
        <v>1000</v>
      </c>
    </row>
    <row r="18" spans="1:10 16384:16384" x14ac:dyDescent="0.2">
      <c r="A18" t="str">
        <f>'Working data'!A16</f>
        <v>Other 2 (rename)</v>
      </c>
      <c r="B18" s="8">
        <f>'Working data'!$B16*'Working data'!D16</f>
        <v>2500</v>
      </c>
      <c r="C18" s="8">
        <f>'Working data'!$B16*'Working data'!E16</f>
        <v>2500</v>
      </c>
      <c r="D18" s="8">
        <f>'Working data'!$B16*'Working data'!F16</f>
        <v>2500</v>
      </c>
      <c r="E18" s="8">
        <f>'Working data'!$B16*'Working data'!G16</f>
        <v>2500</v>
      </c>
      <c r="F18" s="8">
        <f>'Working data'!$B16*'Working data'!H16</f>
        <v>2500</v>
      </c>
      <c r="G18" s="8">
        <f>'Working data'!$B16*'Working data'!I16</f>
        <v>2500</v>
      </c>
      <c r="H18" s="8">
        <f>'Working data'!$B16*'Working data'!J16</f>
        <v>2500</v>
      </c>
      <c r="I18" s="8">
        <f>'Working data'!$B16*'Working data'!K16</f>
        <v>2500</v>
      </c>
      <c r="J18" s="8">
        <f>'Working data'!$B16*'Working data'!L16</f>
        <v>2500</v>
      </c>
      <c r="XFD18" s="8"/>
    </row>
    <row r="19" spans="1:10 16384:16384" x14ac:dyDescent="0.2">
      <c r="A19" t="str">
        <f>'Working data'!A17</f>
        <v xml:space="preserve">All other </v>
      </c>
      <c r="B19" s="8">
        <f>'Working data'!$B17*'Working data'!D17</f>
        <v>1500</v>
      </c>
      <c r="C19" s="8">
        <f>'Working data'!$B17*'Working data'!E17</f>
        <v>1500</v>
      </c>
      <c r="D19" s="8">
        <f>'Working data'!$B17*'Working data'!F17</f>
        <v>1500</v>
      </c>
      <c r="E19" s="8">
        <f>'Working data'!$B17*'Working data'!G17</f>
        <v>1500</v>
      </c>
      <c r="F19" s="8">
        <f>'Working data'!$B17*'Working data'!H17</f>
        <v>1500</v>
      </c>
      <c r="G19" s="8">
        <f>'Working data'!$B17*'Working data'!I17</f>
        <v>1500</v>
      </c>
      <c r="H19" s="8">
        <f>'Working data'!$B17*'Working data'!J17</f>
        <v>1500</v>
      </c>
      <c r="I19" s="8">
        <f>'Working data'!$B17*'Working data'!K17</f>
        <v>1500</v>
      </c>
      <c r="J19" s="8">
        <f>'Working data'!$B17*'Working data'!L17</f>
        <v>1500</v>
      </c>
    </row>
    <row r="20" spans="1:10 16384:16384" s="1" customFormat="1" x14ac:dyDescent="0.2">
      <c r="A20" s="1" t="str">
        <f>'Working data'!A18</f>
        <v>Total expenses</v>
      </c>
      <c r="B20" s="9">
        <f>SUM(B14:B19)</f>
        <v>28083.333333333336</v>
      </c>
      <c r="C20" s="9">
        <f t="shared" ref="C20:J20" si="2">SUM(C14:C19)</f>
        <v>29833.333333333336</v>
      </c>
      <c r="D20" s="9">
        <f t="shared" si="2"/>
        <v>29833.333333333336</v>
      </c>
      <c r="E20" s="9">
        <f t="shared" si="2"/>
        <v>29833.333333333336</v>
      </c>
      <c r="F20" s="9">
        <f t="shared" si="2"/>
        <v>29833.333333333336</v>
      </c>
      <c r="G20" s="9">
        <f t="shared" si="2"/>
        <v>29833.333333333336</v>
      </c>
      <c r="H20" s="9">
        <f t="shared" si="2"/>
        <v>29833.333333333336</v>
      </c>
      <c r="I20" s="9">
        <f t="shared" si="2"/>
        <v>29833.333333333336</v>
      </c>
      <c r="J20" s="9">
        <f t="shared" si="2"/>
        <v>29833.333333333336</v>
      </c>
    </row>
    <row r="21" spans="1:10 16384:16384" ht="17" thickBot="1" x14ac:dyDescent="0.25"/>
    <row r="22" spans="1:10 16384:16384" x14ac:dyDescent="0.2">
      <c r="A22" s="13" t="s">
        <v>21</v>
      </c>
      <c r="B22" s="14">
        <f>B11-B20</f>
        <v>-188.14833333333809</v>
      </c>
      <c r="C22" s="14">
        <f t="shared" ref="C22:J22" si="3">C11-C20</f>
        <v>-1717.5294208333398</v>
      </c>
      <c r="D22" s="14">
        <f t="shared" si="3"/>
        <v>-2016.5105083333365</v>
      </c>
      <c r="E22" s="14">
        <f t="shared" si="3"/>
        <v>-2082.6003808333371</v>
      </c>
      <c r="F22" s="14">
        <f t="shared" si="3"/>
        <v>-1944.7959658333384</v>
      </c>
      <c r="G22" s="14">
        <f t="shared" si="3"/>
        <v>-941.42400958333747</v>
      </c>
      <c r="H22" s="14">
        <f t="shared" si="3"/>
        <v>-565.27420333333794</v>
      </c>
      <c r="I22" s="14">
        <f t="shared" si="3"/>
        <v>-189.12439708333841</v>
      </c>
      <c r="J22" s="15">
        <f t="shared" si="3"/>
        <v>187.02540916666112</v>
      </c>
    </row>
    <row r="23" spans="1:10 16384:16384" ht="17" thickBot="1" x14ac:dyDescent="0.25">
      <c r="A23" s="16" t="s">
        <v>26</v>
      </c>
      <c r="B23" s="17">
        <f>'Working data'!B31+Cashflow!B22</f>
        <v>24811.851666666662</v>
      </c>
      <c r="C23" s="17">
        <f>B23+C22</f>
        <v>23094.322245833322</v>
      </c>
      <c r="D23" s="17">
        <f>C23+D22</f>
        <v>21077.811737499986</v>
      </c>
      <c r="E23" s="17">
        <f>D23+E22</f>
        <v>18995.211356666648</v>
      </c>
      <c r="F23" s="17">
        <f>E23+F22</f>
        <v>17050.41539083331</v>
      </c>
      <c r="G23" s="17">
        <f>F23+G22</f>
        <v>16108.991381249973</v>
      </c>
      <c r="H23" s="17">
        <f>G23+H22</f>
        <v>15543.717177916635</v>
      </c>
      <c r="I23" s="17">
        <f>H23+I22</f>
        <v>15354.592780833296</v>
      </c>
      <c r="J23" s="18">
        <f>I23+J22</f>
        <v>15541.618189999957</v>
      </c>
    </row>
    <row r="26" spans="1:10 16384:16384" x14ac:dyDescent="0.2">
      <c r="A26" s="1" t="s">
        <v>42</v>
      </c>
    </row>
    <row r="27" spans="1:10 16384:16384" x14ac:dyDescent="0.2">
      <c r="A27" t="s">
        <v>22</v>
      </c>
      <c r="B27" s="7">
        <f>'Working data'!$B24*'Working data'!D24*4.33</f>
        <v>10.824999999999999</v>
      </c>
      <c r="C27" s="7">
        <f>'Working data'!$B24*'Working data'!E24*4.33</f>
        <v>10.824999999999999</v>
      </c>
      <c r="D27" s="7">
        <f>'Working data'!$B24*'Working data'!F24*4.33</f>
        <v>12.99</v>
      </c>
      <c r="E27" s="7">
        <f>'Working data'!$B24*'Working data'!G24*4.33</f>
        <v>12.99</v>
      </c>
      <c r="F27" s="7">
        <f>'Working data'!$B24*'Working data'!H24*4.33</f>
        <v>16.237500000000001</v>
      </c>
      <c r="G27" s="7">
        <f>'Working data'!$B24*'Working data'!I24*4.33</f>
        <v>16.237500000000001</v>
      </c>
      <c r="H27" s="7">
        <f>'Working data'!$B24*'Working data'!J24*4.33</f>
        <v>16.237500000000001</v>
      </c>
      <c r="I27" s="7">
        <f>'Working data'!$B24*'Working data'!K24*4.33</f>
        <v>16.237500000000001</v>
      </c>
      <c r="J27" s="7">
        <f>'Working data'!$B24*'Working data'!L24*4.33</f>
        <v>16.237500000000001</v>
      </c>
    </row>
    <row r="28" spans="1:10 16384:16384" x14ac:dyDescent="0.2">
      <c r="A28" t="s">
        <v>23</v>
      </c>
      <c r="B28" s="7">
        <f>'Working data'!$B23*'Working data'!D23*4.33</f>
        <v>19.484999999999999</v>
      </c>
      <c r="C28" s="7">
        <f>'Working data'!$B23*'Working data'!E23*4.33</f>
        <v>19.484999999999999</v>
      </c>
      <c r="D28" s="7">
        <f>'Working data'!$B23*'Working data'!F23*4.33</f>
        <v>16.237500000000001</v>
      </c>
      <c r="E28" s="7">
        <f>'Working data'!$B23*'Working data'!G23*4.33</f>
        <v>12.99</v>
      </c>
      <c r="F28" s="7">
        <f>'Working data'!$B23*'Working data'!H23</f>
        <v>3</v>
      </c>
      <c r="G28" s="7">
        <f>'Working data'!$B23*'Working data'!I23*4.33</f>
        <v>12.99</v>
      </c>
      <c r="H28" s="7">
        <f>'Working data'!$B23*'Working data'!J23*4.33</f>
        <v>12.99</v>
      </c>
      <c r="I28" s="7">
        <f>'Working data'!$B23*'Working data'!K23*4.33</f>
        <v>12.99</v>
      </c>
      <c r="J28" s="7">
        <f>'Working data'!$B23*'Working data'!L23*4.33</f>
        <v>12.99</v>
      </c>
    </row>
    <row r="29" spans="1:10 16384:16384" x14ac:dyDescent="0.2">
      <c r="A29" t="s">
        <v>31</v>
      </c>
      <c r="B29" s="7">
        <f>((B27*'Working data'!$B$33)*4.33)-((Cashflow!B28*'Working data'!$B$28*4.33))</f>
        <v>-428.88108749999992</v>
      </c>
      <c r="C29" s="7">
        <f>((C27*'Working data'!$B$33)*4.33)-((Cashflow!C28*'Working data'!$B$28*4.33))</f>
        <v>-428.88108749999992</v>
      </c>
      <c r="D29" s="7">
        <f>((D27*'Working data'!$B$33)*4.33)-((Cashflow!D28*'Working data'!$B$28*4.33))</f>
        <v>-66.089872499999956</v>
      </c>
      <c r="E29" s="7">
        <f>((E27*'Working data'!$B$33)*4.33)-((Cashflow!E28*'Working data'!$B$28*4.33))</f>
        <v>137.80441500000006</v>
      </c>
      <c r="F29" s="7">
        <f>((F27*'Working data'!$B$33)*4.33)-((Cashflow!F28*'Working data'!$B$28*4.33))</f>
        <v>1003.3719562499998</v>
      </c>
      <c r="G29" s="7">
        <f>((G27*'Working data'!$B$33)*4.33)-((Cashflow!G28*'Working data'!$B$28*4.33))</f>
        <v>376.14980624999987</v>
      </c>
      <c r="H29" s="7">
        <f>((H27*'Working data'!$B$33)*4.33)-((Cashflow!H28*'Working data'!$B$28*4.33))</f>
        <v>376.14980624999987</v>
      </c>
      <c r="I29" s="7">
        <f>((I27*'Working data'!$B$33)*4.33)-((Cashflow!I28*'Working data'!$B$28*4.33))</f>
        <v>376.14980624999987</v>
      </c>
      <c r="J29" s="7">
        <f>((J27*'Working data'!$B$33)*4.33)-((Cashflow!J28*'Working data'!$B$28*4.33))</f>
        <v>376.14980624999987</v>
      </c>
    </row>
    <row r="30" spans="1:10 16384:16384" x14ac:dyDescent="0.2">
      <c r="A30" t="s">
        <v>32</v>
      </c>
      <c r="B30" s="8">
        <f>400+B27-B28</f>
        <v>391.34</v>
      </c>
      <c r="C30" s="8">
        <f>400+C27-C28</f>
        <v>391.34</v>
      </c>
      <c r="D30" s="8">
        <f>400+D27-D28</f>
        <v>396.7525</v>
      </c>
      <c r="E30" s="8">
        <f>400+E27-E28</f>
        <v>400</v>
      </c>
      <c r="F30" s="8">
        <f>400+F27-F28</f>
        <v>413.23750000000001</v>
      </c>
      <c r="G30" s="8">
        <f>400+G27-G28</f>
        <v>403.2475</v>
      </c>
      <c r="H30" s="8">
        <f>400+H27-H28</f>
        <v>403.2475</v>
      </c>
      <c r="I30" s="8">
        <f>400+I27-I28</f>
        <v>403.2475</v>
      </c>
      <c r="J30" s="8">
        <f>400+J27-J28</f>
        <v>403.2475</v>
      </c>
    </row>
    <row r="31" spans="1:10 16384:16384" x14ac:dyDescent="0.2">
      <c r="A31" t="s">
        <v>27</v>
      </c>
      <c r="B31" s="10">
        <f>(B6+(B7/12))/B30</f>
        <v>65.145474523432313</v>
      </c>
      <c r="C31" s="10">
        <f>(C6+(C7/12))/C30</f>
        <v>64.049544928962021</v>
      </c>
      <c r="D31" s="10">
        <f>(D6+(D7/12))/D30</f>
        <v>62.094801734078551</v>
      </c>
      <c r="E31" s="10">
        <f>(E6+(E7/12))/E30</f>
        <v>61.425444881249994</v>
      </c>
      <c r="F31" s="10">
        <f>(F6+(F7/12))/F30</f>
        <v>59.791239583774455</v>
      </c>
      <c r="G31" s="10">
        <f>(G6+(G7/12))/G30</f>
        <v>63.760728395712306</v>
      </c>
      <c r="H31" s="10">
        <f>(H6+(H7/12))/H30</f>
        <v>64.693529730500487</v>
      </c>
      <c r="I31" s="10">
        <f>(I6+(I7/12))/I30</f>
        <v>65.626331065288682</v>
      </c>
      <c r="J31" s="10">
        <f>(J6+(J7/12))/J30</f>
        <v>66.559132400076862</v>
      </c>
    </row>
    <row r="33" spans="1:10" x14ac:dyDescent="0.2">
      <c r="A33" t="s">
        <v>30</v>
      </c>
      <c r="B33">
        <f>'Working data'!B26*'Working data'!B32</f>
        <v>405</v>
      </c>
      <c r="C33" s="8">
        <f t="shared" ref="C33:J33" si="4">B33+B27-B28</f>
        <v>396.34</v>
      </c>
      <c r="D33" s="8">
        <f t="shared" si="4"/>
        <v>387.67999999999995</v>
      </c>
      <c r="E33" s="8">
        <f t="shared" si="4"/>
        <v>384.43249999999995</v>
      </c>
      <c r="F33" s="8">
        <f t="shared" si="4"/>
        <v>384.43249999999995</v>
      </c>
      <c r="G33" s="8">
        <f t="shared" si="4"/>
        <v>397.66999999999996</v>
      </c>
      <c r="H33" s="8">
        <f t="shared" si="4"/>
        <v>400.91749999999996</v>
      </c>
      <c r="I33" s="8">
        <f t="shared" si="4"/>
        <v>404.16499999999996</v>
      </c>
      <c r="J33" s="8">
        <f t="shared" si="4"/>
        <v>407.41249999999997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data</vt:lpstr>
      <vt:lpstr>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2020-04-21T03:26:20Z</dcterms:created>
  <dcterms:modified xsi:type="dcterms:W3CDTF">2020-04-25T03:48:56Z</dcterms:modified>
</cp:coreProperties>
</file>